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356" windowWidth="12120" windowHeight="8535" activeTab="0"/>
  </bookViews>
  <sheets>
    <sheet name="Hoja1" sheetId="1" r:id="rId1"/>
  </sheets>
  <definedNames>
    <definedName name="_xlnm.Print_Area" localSheetId="0">'Hoja1'!$A$1:$O$57</definedName>
  </definedNames>
  <calcPr fullCalcOnLoad="1"/>
</workbook>
</file>

<file path=xl/sharedStrings.xml><?xml version="1.0" encoding="utf-8"?>
<sst xmlns="http://schemas.openxmlformats.org/spreadsheetml/2006/main" count="69" uniqueCount="63">
  <si>
    <t>Quiñenco S.A.</t>
  </si>
  <si>
    <t>By Sector</t>
  </si>
  <si>
    <t>MMUS$</t>
  </si>
  <si>
    <t>cash</t>
  </si>
  <si>
    <t>Madeco</t>
  </si>
  <si>
    <t>Telecom</t>
  </si>
  <si>
    <t>Lucchetti</t>
  </si>
  <si>
    <t>Financial</t>
  </si>
  <si>
    <t>Carrera</t>
  </si>
  <si>
    <t>Food &amp; Beverage</t>
  </si>
  <si>
    <t>CCU</t>
  </si>
  <si>
    <t>Habitaria</t>
  </si>
  <si>
    <t>Other assets</t>
  </si>
  <si>
    <t>Entel</t>
  </si>
  <si>
    <t>less debt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</si>
  <si>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</si>
  <si>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</si>
  <si>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</si>
  <si>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</si>
  <si>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</si>
  <si>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</si>
  <si>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</si>
  <si>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</si>
  <si>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Quiñenco shares</t>
  </si>
  <si>
    <t>Market Cap in US$</t>
  </si>
  <si>
    <t>Telsur</t>
  </si>
  <si>
    <t>Cash and Equivalents</t>
  </si>
  <si>
    <t>Other Corporate Assets</t>
  </si>
  <si>
    <t>Company</t>
  </si>
  <si>
    <t>Total shares o/s</t>
  </si>
  <si>
    <t>Asset</t>
  </si>
  <si>
    <t>Bank Debt</t>
  </si>
  <si>
    <t>Gross Assets</t>
  </si>
  <si>
    <t>Net Assets</t>
  </si>
  <si>
    <t>Detail Banco de Chile</t>
  </si>
  <si>
    <t>Ownership %</t>
  </si>
  <si>
    <t xml:space="preserve">SM Chile </t>
  </si>
  <si>
    <t>% Ownership</t>
  </si>
  <si>
    <t>Total SM Chile</t>
  </si>
  <si>
    <t>n.a.</t>
  </si>
  <si>
    <t>see detail</t>
  </si>
  <si>
    <t>MCh$</t>
  </si>
  <si>
    <t>Price Per</t>
  </si>
  <si>
    <t>Book Value</t>
  </si>
  <si>
    <t>Total</t>
  </si>
  <si>
    <t xml:space="preserve">Bank Debt Corporate Level </t>
  </si>
  <si>
    <t xml:space="preserve">Sum </t>
  </si>
  <si>
    <t>Financial Sector:</t>
  </si>
  <si>
    <t>Food &amp; Beverage:</t>
  </si>
  <si>
    <t>Telecom:</t>
  </si>
  <si>
    <t>Manufacturing:</t>
  </si>
  <si>
    <t>Real Estate/Hotels:</t>
  </si>
  <si>
    <t>Observed US$ ex. Rt.</t>
  </si>
  <si>
    <t>Value of Investment (US$)</t>
  </si>
  <si>
    <t>Est MV of Investment (US$)</t>
  </si>
  <si>
    <t>Share (Ch$)</t>
  </si>
  <si>
    <t xml:space="preserve">Shares o/s </t>
  </si>
  <si>
    <t>Market cap (US$)</t>
  </si>
  <si>
    <t xml:space="preserve">Price/share (Ch$) </t>
  </si>
  <si>
    <t>Manufacturing</t>
  </si>
  <si>
    <t xml:space="preserve">As of  March 31, 2003 </t>
  </si>
  <si>
    <t>as of 31,03,03</t>
  </si>
  <si>
    <t xml:space="preserve">NAV Estimation </t>
  </si>
</sst>
</file>

<file path=xl/styles.xml><?xml version="1.0" encoding="utf-8"?>
<styleSheet xmlns="http://schemas.openxmlformats.org/spreadsheetml/2006/main">
  <numFmts count="38">
    <numFmt numFmtId="5" formatCode="&quot;$chs&quot;\ #,##0;&quot;$chs&quot;\ \-#,##0"/>
    <numFmt numFmtId="6" formatCode="&quot;$chs&quot;\ #,##0;[Red]&quot;$chs&quot;\ \-#,##0"/>
    <numFmt numFmtId="7" formatCode="&quot;$chs&quot;\ #,##0.00;&quot;$chs&quot;\ \-#,##0.00"/>
    <numFmt numFmtId="8" formatCode="&quot;$chs&quot;\ #,##0.00;[Red]&quot;$chs&quot;\ \-#,##0.00"/>
    <numFmt numFmtId="42" formatCode="_ &quot;$chs&quot;\ * #,##0_ ;_ &quot;$chs&quot;\ * \-#,##0_ ;_ &quot;$chs&quot;\ * &quot;-&quot;_ ;_ @_ "/>
    <numFmt numFmtId="41" formatCode="_ * #,##0_ ;_ * \-#,##0_ ;_ * &quot;-&quot;_ ;_ @_ "/>
    <numFmt numFmtId="44" formatCode="_ &quot;$chs&quot;\ * #,##0.00_ ;_ &quot;$chs&quot;\ * \-#,##0.00_ ;_ &quot;$chs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\(#,##0\)"/>
    <numFmt numFmtId="181" formatCode="dd\-mmm\-yy"/>
    <numFmt numFmtId="182" formatCode="#,##0.00;\(#,##0.00\)"/>
    <numFmt numFmtId="183" formatCode="#,##0.0;\(#,##0.0\)"/>
    <numFmt numFmtId="184" formatCode="0.0"/>
    <numFmt numFmtId="185" formatCode="0.000000000000"/>
    <numFmt numFmtId="186" formatCode="#,##0.000;\(#,##0.000\)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&quot;$&quot;\ #,##0.00"/>
    <numFmt numFmtId="193" formatCode="0.0%"/>
  </numFmts>
  <fonts count="8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0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10" fontId="0" fillId="0" borderId="0" xfId="19" applyNumberFormat="1" applyAlignment="1">
      <alignment/>
    </xf>
    <xf numFmtId="9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183" fontId="0" fillId="0" borderId="3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4" xfId="0" applyNumberFormat="1" applyBorder="1" applyAlignment="1">
      <alignment/>
    </xf>
    <xf numFmtId="183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180" fontId="0" fillId="0" borderId="7" xfId="0" applyNumberFormat="1" applyBorder="1" applyAlignment="1">
      <alignment/>
    </xf>
    <xf numFmtId="183" fontId="0" fillId="0" borderId="8" xfId="0" applyNumberFormat="1" applyBorder="1" applyAlignment="1">
      <alignment/>
    </xf>
    <xf numFmtId="180" fontId="2" fillId="0" borderId="9" xfId="0" applyNumberFormat="1" applyFont="1" applyBorder="1" applyAlignment="1">
      <alignment/>
    </xf>
    <xf numFmtId="10" fontId="0" fillId="0" borderId="10" xfId="19" applyNumberFormat="1" applyBorder="1" applyAlignment="1">
      <alignment/>
    </xf>
    <xf numFmtId="182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10" fontId="0" fillId="2" borderId="11" xfId="19" applyNumberFormat="1" applyFill="1" applyBorder="1" applyAlignment="1">
      <alignment/>
    </xf>
    <xf numFmtId="186" fontId="3" fillId="0" borderId="0" xfId="0" applyNumberFormat="1" applyFont="1" applyAlignment="1">
      <alignment/>
    </xf>
    <xf numFmtId="180" fontId="1" fillId="0" borderId="13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3" fontId="0" fillId="0" borderId="0" xfId="19" applyNumberFormat="1" applyAlignment="1">
      <alignment/>
    </xf>
    <xf numFmtId="3" fontId="0" fillId="0" borderId="0" xfId="19" applyNumberFormat="1" applyFont="1" applyAlignment="1">
      <alignment/>
    </xf>
    <xf numFmtId="10" fontId="0" fillId="0" borderId="0" xfId="19" applyNumberFormat="1" applyFont="1" applyAlignment="1">
      <alignment/>
    </xf>
    <xf numFmtId="180" fontId="4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80" fontId="0" fillId="0" borderId="0" xfId="0" applyNumberFormat="1" applyAlignment="1">
      <alignment horizontal="center"/>
    </xf>
    <xf numFmtId="180" fontId="7" fillId="0" borderId="0" xfId="0" applyNumberFormat="1" applyFont="1" applyAlignment="1">
      <alignment horizontal="center"/>
    </xf>
    <xf numFmtId="189" fontId="0" fillId="0" borderId="0" xfId="19" applyNumberFormat="1" applyAlignment="1">
      <alignment/>
    </xf>
    <xf numFmtId="189" fontId="0" fillId="0" borderId="0" xfId="19" applyNumberFormat="1" applyFont="1" applyAlignment="1">
      <alignment/>
    </xf>
    <xf numFmtId="2" fontId="0" fillId="0" borderId="0" xfId="0" applyNumberFormat="1" applyAlignment="1">
      <alignment/>
    </xf>
    <xf numFmtId="180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3" fontId="0" fillId="0" borderId="0" xfId="19" applyNumberFormat="1" applyFont="1" applyAlignment="1">
      <alignment horizontal="center"/>
    </xf>
    <xf numFmtId="182" fontId="0" fillId="0" borderId="0" xfId="0" applyNumberFormat="1" applyFill="1" applyAlignment="1">
      <alignment horizontal="right"/>
    </xf>
    <xf numFmtId="182" fontId="0" fillId="0" borderId="0" xfId="0" applyNumberFormat="1" applyAlignment="1">
      <alignment horizontal="right"/>
    </xf>
    <xf numFmtId="187" fontId="0" fillId="0" borderId="0" xfId="19" applyNumberFormat="1" applyFont="1" applyAlignment="1">
      <alignment horizontal="right"/>
    </xf>
    <xf numFmtId="188" fontId="0" fillId="0" borderId="0" xfId="19" applyNumberFormat="1" applyFont="1" applyAlignment="1">
      <alignment horizontal="right"/>
    </xf>
    <xf numFmtId="3" fontId="0" fillId="0" borderId="10" xfId="19" applyNumberFormat="1" applyBorder="1" applyAlignment="1">
      <alignment/>
    </xf>
    <xf numFmtId="180" fontId="6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5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80" fontId="6" fillId="0" borderId="15" xfId="0" applyNumberFormat="1" applyFont="1" applyBorder="1" applyAlignment="1">
      <alignment/>
    </xf>
    <xf numFmtId="180" fontId="6" fillId="0" borderId="16" xfId="0" applyNumberFormat="1" applyFont="1" applyBorder="1" applyAlignment="1">
      <alignment/>
    </xf>
    <xf numFmtId="180" fontId="6" fillId="0" borderId="17" xfId="0" applyNumberFormat="1" applyFont="1" applyBorder="1" applyAlignment="1">
      <alignment/>
    </xf>
    <xf numFmtId="181" fontId="0" fillId="3" borderId="18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/>
    </xf>
    <xf numFmtId="180" fontId="0" fillId="0" borderId="0" xfId="0" applyNumberFormat="1" applyAlignment="1">
      <alignment horizontal="right"/>
    </xf>
    <xf numFmtId="180" fontId="1" fillId="0" borderId="0" xfId="0" applyNumberFormat="1" applyFont="1" applyBorder="1" applyAlignment="1">
      <alignment/>
    </xf>
    <xf numFmtId="180" fontId="0" fillId="0" borderId="14" xfId="0" applyNumberFormat="1" applyBorder="1" applyAlignment="1">
      <alignment horizontal="right"/>
    </xf>
    <xf numFmtId="3" fontId="0" fillId="0" borderId="0" xfId="19" applyNumberFormat="1" applyFont="1" applyAlignment="1">
      <alignment horizontal="right"/>
    </xf>
    <xf numFmtId="180" fontId="0" fillId="0" borderId="0" xfId="0" applyNumberFormat="1" applyFont="1" applyFill="1" applyAlignment="1">
      <alignment/>
    </xf>
    <xf numFmtId="182" fontId="0" fillId="0" borderId="0" xfId="0" applyNumberFormat="1" applyFont="1" applyAlignment="1">
      <alignment/>
    </xf>
    <xf numFmtId="3" fontId="0" fillId="0" borderId="0" xfId="19" applyNumberFormat="1" applyFill="1" applyAlignment="1">
      <alignment/>
    </xf>
    <xf numFmtId="189" fontId="0" fillId="0" borderId="0" xfId="19" applyNumberFormat="1" applyFill="1" applyAlignment="1">
      <alignment/>
    </xf>
    <xf numFmtId="10" fontId="0" fillId="0" borderId="0" xfId="19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="75" zoomScaleNormal="75" workbookViewId="0" topLeftCell="A1">
      <pane xSplit="1" topLeftCell="J1" activePane="topRight" state="frozen"/>
      <selection pane="topLeft" activeCell="A3" sqref="A3"/>
      <selection pane="topRight" activeCell="O9" sqref="O9:O16"/>
    </sheetView>
  </sheetViews>
  <sheetFormatPr defaultColWidth="11.421875" defaultRowHeight="12.75"/>
  <cols>
    <col min="1" max="1" width="50.7109375" style="0" customWidth="1"/>
    <col min="2" max="2" width="21.421875" style="0" customWidth="1"/>
    <col min="3" max="3" width="28.28125" style="0" customWidth="1"/>
    <col min="4" max="4" width="19.28125" style="0" customWidth="1"/>
    <col min="5" max="5" width="14.00390625" style="0" customWidth="1"/>
    <col min="6" max="6" width="26.00390625" style="0" customWidth="1"/>
    <col min="7" max="7" width="16.00390625" style="0" customWidth="1"/>
    <col min="8" max="8" width="12.421875" style="0" bestFit="1" customWidth="1"/>
    <col min="9" max="9" width="14.7109375" style="0" bestFit="1" customWidth="1"/>
    <col min="13" max="13" width="17.00390625" style="0" customWidth="1"/>
    <col min="14" max="14" width="16.57421875" style="0" bestFit="1" customWidth="1"/>
  </cols>
  <sheetData>
    <row r="1" spans="1:12" ht="12.75">
      <c r="A1" s="5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37" t="s">
        <v>62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5" ht="13.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6"/>
      <c r="O3" s="10"/>
    </row>
    <row r="4" spans="1:15" ht="12.75">
      <c r="A4" s="37" t="s">
        <v>60</v>
      </c>
      <c r="B4" s="2"/>
      <c r="C4" s="2"/>
      <c r="D4" s="1"/>
      <c r="E4" s="59">
        <f>DATE(3,3,31)</f>
        <v>1186</v>
      </c>
      <c r="F4" s="1"/>
      <c r="G4" s="2"/>
      <c r="H4" s="3"/>
      <c r="I4" s="1"/>
      <c r="J4" s="1"/>
      <c r="K4" s="1"/>
      <c r="L4" s="1"/>
      <c r="N4" s="6"/>
      <c r="O4" s="10"/>
    </row>
    <row r="5" spans="2:15" ht="12.75">
      <c r="B5" s="1"/>
      <c r="C5" s="1"/>
      <c r="D5" s="1" t="s">
        <v>52</v>
      </c>
      <c r="E5" s="4">
        <v>731.56</v>
      </c>
      <c r="F5" s="1"/>
      <c r="G5" s="1"/>
      <c r="J5" s="1"/>
      <c r="K5" s="1"/>
      <c r="L5" s="1"/>
      <c r="N5" s="6"/>
      <c r="O5" s="10"/>
    </row>
    <row r="6" spans="1:13" ht="12.75">
      <c r="A6" s="1"/>
      <c r="B6" s="1"/>
      <c r="C6" s="1"/>
      <c r="D6" s="1"/>
      <c r="E6" s="1"/>
      <c r="F6" s="1"/>
      <c r="G6" s="1"/>
      <c r="J6" s="1"/>
      <c r="K6" s="1"/>
      <c r="L6" s="1"/>
      <c r="M6" s="43" t="str">
        <f>+H9</f>
        <v>as of 31,03,03</v>
      </c>
    </row>
    <row r="7" spans="1:12" ht="12.75">
      <c r="A7" s="1"/>
      <c r="B7" s="1"/>
      <c r="C7" s="38" t="s">
        <v>28</v>
      </c>
      <c r="E7" s="1"/>
      <c r="F7" s="1"/>
      <c r="G7" s="1"/>
      <c r="H7" s="52" t="s">
        <v>42</v>
      </c>
      <c r="K7" s="1"/>
      <c r="L7" s="1"/>
    </row>
    <row r="8" spans="2:15" ht="12.75">
      <c r="B8" s="38" t="s">
        <v>29</v>
      </c>
      <c r="C8" s="38" t="s">
        <v>24</v>
      </c>
      <c r="F8" s="1" t="s">
        <v>53</v>
      </c>
      <c r="G8" s="1"/>
      <c r="H8" s="52" t="s">
        <v>55</v>
      </c>
      <c r="I8" s="1"/>
      <c r="J8" s="1"/>
      <c r="K8" s="1"/>
      <c r="L8" s="1"/>
      <c r="M8" t="s">
        <v>1</v>
      </c>
      <c r="N8" s="6"/>
      <c r="O8" s="7"/>
    </row>
    <row r="9" spans="1:15" ht="15">
      <c r="A9" s="32" t="s">
        <v>30</v>
      </c>
      <c r="B9" s="39" t="s">
        <v>61</v>
      </c>
      <c r="C9" s="39" t="str">
        <f>+B9</f>
        <v>as of 31,03,03</v>
      </c>
      <c r="D9" s="39" t="s">
        <v>23</v>
      </c>
      <c r="E9" s="39" t="s">
        <v>35</v>
      </c>
      <c r="F9" s="39" t="str">
        <f>+C9</f>
        <v>as of 31,03,03</v>
      </c>
      <c r="G9" s="39"/>
      <c r="H9" s="39" t="str">
        <f>+F9</f>
        <v>as of 31,03,03</v>
      </c>
      <c r="I9" s="62" t="s">
        <v>41</v>
      </c>
      <c r="J9" s="62" t="s">
        <v>2</v>
      </c>
      <c r="K9" s="1"/>
      <c r="L9" s="1"/>
      <c r="M9" t="s">
        <v>3</v>
      </c>
      <c r="N9" s="6">
        <f>+J11</f>
        <v>97.7377111925201</v>
      </c>
      <c r="O9" s="10">
        <f>+N9/N17</f>
        <v>0.07498143815820096</v>
      </c>
    </row>
    <row r="10" spans="1:15" ht="14.25">
      <c r="A10" s="34"/>
      <c r="K10" s="1"/>
      <c r="L10" s="1"/>
      <c r="N10" s="6"/>
      <c r="O10" s="10"/>
    </row>
    <row r="11" spans="1:15" ht="15">
      <c r="A11" s="32" t="s">
        <v>26</v>
      </c>
      <c r="B11" s="9"/>
      <c r="C11" s="9"/>
      <c r="D11" s="9"/>
      <c r="E11" s="9"/>
      <c r="F11" s="9"/>
      <c r="G11" s="9"/>
      <c r="H11" s="4"/>
      <c r="I11" s="3">
        <v>71501</v>
      </c>
      <c r="J11" s="60">
        <f>(+I11/E$5)</f>
        <v>97.7377111925201</v>
      </c>
      <c r="K11" s="1"/>
      <c r="L11" s="1"/>
      <c r="M11" t="s">
        <v>5</v>
      </c>
      <c r="N11" s="6">
        <f>+J20+J21</f>
        <v>122.91185142257642</v>
      </c>
      <c r="O11" s="10">
        <f>+N11/N$17</f>
        <v>0.09429428287100314</v>
      </c>
    </row>
    <row r="12" spans="1:15" ht="15">
      <c r="A12" s="32" t="s">
        <v>47</v>
      </c>
      <c r="B12" s="9"/>
      <c r="C12" s="9"/>
      <c r="D12" s="9"/>
      <c r="E12" s="9"/>
      <c r="F12" s="9"/>
      <c r="G12" s="9"/>
      <c r="H12" s="4"/>
      <c r="I12" s="3"/>
      <c r="J12" s="5"/>
      <c r="K12" s="1"/>
      <c r="L12" s="1"/>
      <c r="M12" t="s">
        <v>7</v>
      </c>
      <c r="N12" s="6">
        <f>+J13+J14</f>
        <v>598.0773162045083</v>
      </c>
      <c r="O12" s="10">
        <f>+N12/N$17</f>
        <v>0.45882696404131806</v>
      </c>
    </row>
    <row r="13" spans="1:15" ht="14.25">
      <c r="A13" s="53" t="s">
        <v>18</v>
      </c>
      <c r="B13" s="29">
        <v>68079783606</v>
      </c>
      <c r="C13" s="40">
        <f>+C47</f>
        <v>1935671030.4073489</v>
      </c>
      <c r="D13" s="29">
        <v>13762345978</v>
      </c>
      <c r="E13" s="9">
        <f>+D13/B13</f>
        <v>0.2021502603129176</v>
      </c>
      <c r="F13" s="40">
        <f>+C13*E13</f>
        <v>391296402.677019</v>
      </c>
      <c r="G13" s="47"/>
      <c r="H13" s="4">
        <v>20.8</v>
      </c>
      <c r="I13" s="1">
        <f>+H13*D13/1000000</f>
        <v>286256.7963424</v>
      </c>
      <c r="J13" s="5">
        <f>(+I13/E$5)</f>
        <v>391.29640267701905</v>
      </c>
      <c r="K13" s="1"/>
      <c r="L13" s="1"/>
      <c r="M13" t="s">
        <v>9</v>
      </c>
      <c r="N13" s="6">
        <f>+J18+J17</f>
        <v>360.10643324265953</v>
      </c>
      <c r="O13" s="10">
        <f>+N13/N$17</f>
        <v>0.2762628459895961</v>
      </c>
    </row>
    <row r="14" spans="1:15" ht="14.25">
      <c r="A14" s="53" t="s">
        <v>36</v>
      </c>
      <c r="B14" s="29">
        <v>12582052427</v>
      </c>
      <c r="C14" s="40">
        <f>+C53</f>
        <v>403411799.6467412</v>
      </c>
      <c r="D14" s="29">
        <f>+D53</f>
        <v>6460360243</v>
      </c>
      <c r="E14" s="9">
        <f>+E53</f>
        <v>0.5134583789475097</v>
      </c>
      <c r="F14" s="40">
        <f>+F53</f>
        <v>206780913.52748922</v>
      </c>
      <c r="G14" s="48"/>
      <c r="H14" s="48" t="s">
        <v>40</v>
      </c>
      <c r="I14" s="1">
        <f>+(+D49*G49/1000000)+(D50*G50/1000000)+(D51*G51/1000000)+(D52*G52/1000000)</f>
        <v>151272.64510017002</v>
      </c>
      <c r="J14" s="5">
        <f>(+I14/E$5)</f>
        <v>206.78091352748925</v>
      </c>
      <c r="K14" s="1"/>
      <c r="L14" s="1"/>
      <c r="M14" t="s">
        <v>59</v>
      </c>
      <c r="N14" s="6">
        <f>+J23</f>
        <v>68.3830295573432</v>
      </c>
      <c r="O14" s="10">
        <f>+N14/N17</f>
        <v>0.052461407569944864</v>
      </c>
    </row>
    <row r="15" spans="1:15" ht="15">
      <c r="A15" s="32" t="s">
        <v>48</v>
      </c>
      <c r="B15" s="29"/>
      <c r="C15" s="40"/>
      <c r="D15" s="29"/>
      <c r="E15" s="9"/>
      <c r="F15" s="40"/>
      <c r="G15" s="48"/>
      <c r="H15" s="48"/>
      <c r="I15" s="1"/>
      <c r="J15" s="5"/>
      <c r="K15" s="1"/>
      <c r="L15" s="1"/>
      <c r="M15" t="str">
        <f>+A24</f>
        <v>Real Estate/Hotels:</v>
      </c>
      <c r="N15" s="6">
        <f>+J25+J26+J27</f>
        <v>18.077919970474056</v>
      </c>
      <c r="O15" s="10">
        <f>+N15/N$17</f>
        <v>0.01386883754239934</v>
      </c>
    </row>
    <row r="16" spans="1:15" ht="15">
      <c r="A16" s="32"/>
      <c r="B16" s="29"/>
      <c r="C16" s="40"/>
      <c r="D16" s="29"/>
      <c r="E16" s="9"/>
      <c r="F16" s="40"/>
      <c r="G16" s="48"/>
      <c r="H16" s="48"/>
      <c r="I16" s="1"/>
      <c r="J16" s="5"/>
      <c r="K16" s="1"/>
      <c r="L16" s="1"/>
      <c r="M16" t="s">
        <v>12</v>
      </c>
      <c r="N16" s="6">
        <f>+J29</f>
        <v>38.197823828530815</v>
      </c>
      <c r="O16" s="10">
        <f>+N16/N$17</f>
        <v>0.02930422382753763</v>
      </c>
    </row>
    <row r="17" spans="1:15" ht="14.25">
      <c r="A17" s="53" t="s">
        <v>10</v>
      </c>
      <c r="B17" s="29">
        <v>318502872</v>
      </c>
      <c r="C17" s="40">
        <f>(+B17*H17)/E$5</f>
        <v>1014380011.8552136</v>
      </c>
      <c r="D17" s="29">
        <v>98068980</v>
      </c>
      <c r="E17" s="9">
        <f>+D17/B17</f>
        <v>0.30790610892827364</v>
      </c>
      <c r="F17" s="40">
        <f>+C17*E17</f>
        <v>312333802.4249549</v>
      </c>
      <c r="G17" s="4"/>
      <c r="H17" s="4">
        <v>2329.9</v>
      </c>
      <c r="I17" s="1">
        <f>+H17*D17/1000000</f>
        <v>228490.916502</v>
      </c>
      <c r="J17" s="5">
        <f>(+I17/E$5)</f>
        <v>312.3338024249549</v>
      </c>
      <c r="K17" s="1"/>
      <c r="L17" s="1"/>
      <c r="M17" t="s">
        <v>44</v>
      </c>
      <c r="N17" s="6">
        <f>SUM(N9:N16)</f>
        <v>1303.4920854186123</v>
      </c>
      <c r="O17" s="10">
        <f>SUM(O9:O16)</f>
        <v>1</v>
      </c>
    </row>
    <row r="18" spans="1:15" ht="14.25">
      <c r="A18" s="53" t="s">
        <v>6</v>
      </c>
      <c r="B18" s="29">
        <f>1784093521+128757805</f>
        <v>1912851326</v>
      </c>
      <c r="C18" s="40">
        <f>(+B18*H18)/E$5</f>
        <v>50987753.37224562</v>
      </c>
      <c r="D18" s="29">
        <f>793914373+869708297+128610448</f>
        <v>1792233118</v>
      </c>
      <c r="E18" s="9">
        <f>+D18/B18</f>
        <v>0.9369432394663797</v>
      </c>
      <c r="F18" s="40">
        <f>+C18*E18</f>
        <v>47772630.81770463</v>
      </c>
      <c r="G18" s="4"/>
      <c r="H18" s="4">
        <v>19.5</v>
      </c>
      <c r="I18" s="1">
        <f>+H18*D18/1000000</f>
        <v>34948.545801</v>
      </c>
      <c r="J18" s="5">
        <f>(+I18/E$5)</f>
        <v>47.77263081770464</v>
      </c>
      <c r="K18" s="1"/>
      <c r="L18" s="1"/>
      <c r="M18" t="s">
        <v>14</v>
      </c>
      <c r="N18" s="6">
        <f>J35</f>
        <v>-539.7711739296846</v>
      </c>
      <c r="O18" s="10"/>
    </row>
    <row r="19" spans="1:15" ht="15">
      <c r="A19" s="54" t="s">
        <v>49</v>
      </c>
      <c r="B19" s="29"/>
      <c r="C19" s="40"/>
      <c r="D19" s="29"/>
      <c r="E19" s="9"/>
      <c r="F19" s="40"/>
      <c r="G19" s="4"/>
      <c r="H19" s="4"/>
      <c r="I19" s="1"/>
      <c r="J19" s="5"/>
      <c r="K19" s="1"/>
      <c r="L19" s="1"/>
      <c r="N19" s="6"/>
      <c r="O19" s="10"/>
    </row>
    <row r="20" spans="1:15" ht="14.25">
      <c r="A20" s="53" t="s">
        <v>25</v>
      </c>
      <c r="B20" s="29">
        <v>225063190</v>
      </c>
      <c r="C20" s="40">
        <f>(+B20*H20)/E$5</f>
        <v>86141523.8668052</v>
      </c>
      <c r="D20" s="29">
        <v>165561270</v>
      </c>
      <c r="E20" s="9">
        <f>+D20/B20</f>
        <v>0.7356212715193453</v>
      </c>
      <c r="F20" s="40">
        <f>+C20*E20</f>
        <v>63367537.31751327</v>
      </c>
      <c r="G20" s="4"/>
      <c r="H20" s="4">
        <v>280</v>
      </c>
      <c r="I20" s="1">
        <f>+H20*D20/1000000</f>
        <v>46357.1556</v>
      </c>
      <c r="J20" s="5">
        <f>(+I20/E$5)</f>
        <v>63.36753731751326</v>
      </c>
      <c r="K20" s="1"/>
      <c r="L20" s="1"/>
      <c r="M20" t="s">
        <v>15</v>
      </c>
      <c r="N20" s="6">
        <f>+N17+N18</f>
        <v>763.7209114889278</v>
      </c>
      <c r="O20" s="10"/>
    </row>
    <row r="21" spans="1:12" ht="14.25">
      <c r="A21" s="53" t="s">
        <v>13</v>
      </c>
      <c r="B21" s="29">
        <v>236523695</v>
      </c>
      <c r="C21" s="40">
        <f>(+B21*H21)/E$5</f>
        <v>1047505494.3278748</v>
      </c>
      <c r="D21" s="29">
        <f>32365881-9460000-9460948</f>
        <v>13444933</v>
      </c>
      <c r="E21" s="9">
        <f>+D21/B21</f>
        <v>0.05684391578611183</v>
      </c>
      <c r="F21" s="40">
        <f>+C21*E21</f>
        <v>59544314.105063155</v>
      </c>
      <c r="G21" s="47"/>
      <c r="H21" s="4">
        <v>3239.9</v>
      </c>
      <c r="I21" s="1">
        <f>+H21*D21/1000000</f>
        <v>43560.2384267</v>
      </c>
      <c r="J21" s="5">
        <f>(+I21/E$5)</f>
        <v>59.54431410506316</v>
      </c>
      <c r="K21" s="1"/>
      <c r="L21" s="1"/>
    </row>
    <row r="22" spans="1:12" ht="15">
      <c r="A22" s="32" t="s">
        <v>50</v>
      </c>
      <c r="B22" s="29"/>
      <c r="C22" s="40"/>
      <c r="D22" s="29"/>
      <c r="E22" s="9"/>
      <c r="F22" s="40"/>
      <c r="G22" s="47"/>
      <c r="H22" s="4"/>
      <c r="I22" s="1"/>
      <c r="J22" s="5"/>
      <c r="K22" s="1"/>
      <c r="L22" s="1"/>
    </row>
    <row r="23" spans="1:12" ht="14.25">
      <c r="A23" s="61" t="s">
        <v>4</v>
      </c>
      <c r="B23" s="69">
        <v>2698484806</v>
      </c>
      <c r="C23" s="70">
        <f>(+B23*H23)/E$5</f>
        <v>81113894.80553885</v>
      </c>
      <c r="D23" s="69">
        <f>1987596467+287359836</f>
        <v>2274956303</v>
      </c>
      <c r="E23" s="71">
        <f>+D23/B23</f>
        <v>0.8430495135424527</v>
      </c>
      <c r="F23" s="40">
        <f>+C23*E23</f>
        <v>68383029.55734321</v>
      </c>
      <c r="G23" s="4"/>
      <c r="H23" s="4">
        <v>21.99</v>
      </c>
      <c r="I23" s="1">
        <f>+H23*D23/1000000</f>
        <v>50026.28910297</v>
      </c>
      <c r="J23" s="5">
        <f>(+I23/E$5)</f>
        <v>68.3830295573432</v>
      </c>
      <c r="K23" s="1"/>
      <c r="L23" s="1"/>
    </row>
    <row r="24" spans="1:12" ht="15">
      <c r="A24" s="55" t="s">
        <v>51</v>
      </c>
      <c r="K24" s="1"/>
      <c r="L24" s="1"/>
    </row>
    <row r="25" spans="1:12" ht="14.25">
      <c r="A25" s="53" t="s">
        <v>8</v>
      </c>
      <c r="B25" s="29">
        <v>9494454</v>
      </c>
      <c r="C25" s="40">
        <f>(+B25*H25)/E$5</f>
        <v>7138101.727814534</v>
      </c>
      <c r="D25" s="29">
        <f>(6052232+2825264)*0.962</f>
        <v>8540151.151999999</v>
      </c>
      <c r="E25" s="9">
        <f>+D25/B25</f>
        <v>0.8994883910122687</v>
      </c>
      <c r="F25" s="40">
        <f>+C25*E25</f>
        <v>6420639.6380337905</v>
      </c>
      <c r="G25" s="4"/>
      <c r="H25" s="68">
        <v>550</v>
      </c>
      <c r="I25" s="1">
        <f>+H25*D25/1000000</f>
        <v>4697.083133599999</v>
      </c>
      <c r="J25" s="5">
        <f>(+I25/E$5)</f>
        <v>6.42063963803379</v>
      </c>
      <c r="K25" s="1"/>
      <c r="L25" s="1"/>
    </row>
    <row r="26" spans="1:12" ht="14.25">
      <c r="A26" s="61" t="s">
        <v>11</v>
      </c>
      <c r="B26" s="66" t="s">
        <v>39</v>
      </c>
      <c r="C26" s="66" t="s">
        <v>39</v>
      </c>
      <c r="D26" s="66" t="s">
        <v>39</v>
      </c>
      <c r="E26" s="31">
        <v>0.5</v>
      </c>
      <c r="F26" s="30">
        <f>+J26*1000000</f>
        <v>11657280.332440266</v>
      </c>
      <c r="G26" s="46"/>
      <c r="H26" s="46" t="s">
        <v>39</v>
      </c>
      <c r="I26" s="3">
        <v>8528</v>
      </c>
      <c r="J26" s="60">
        <f>(+I26/E$5)</f>
        <v>11.657280332440266</v>
      </c>
      <c r="K26" s="2" t="s">
        <v>43</v>
      </c>
      <c r="L26" s="1"/>
    </row>
    <row r="27" spans="1:12" ht="14.25">
      <c r="A27" s="61"/>
      <c r="B27" s="45"/>
      <c r="C27" s="45"/>
      <c r="D27" s="45"/>
      <c r="E27" s="9"/>
      <c r="F27" s="41"/>
      <c r="G27" s="49"/>
      <c r="H27" s="49"/>
      <c r="I27" s="3"/>
      <c r="J27" s="60"/>
      <c r="K27" s="2"/>
      <c r="L27" s="1"/>
    </row>
    <row r="28" spans="1:14" ht="14.25">
      <c r="A28" s="33"/>
      <c r="B28" s="29"/>
      <c r="C28" s="40"/>
      <c r="D28" s="29"/>
      <c r="E28" s="29"/>
      <c r="F28" s="40"/>
      <c r="G28" s="9"/>
      <c r="H28" s="4"/>
      <c r="I28" s="3"/>
      <c r="J28" s="5"/>
      <c r="K28" s="1"/>
      <c r="L28" s="1"/>
      <c r="N28" s="6"/>
    </row>
    <row r="29" spans="1:14" ht="15">
      <c r="A29" s="32" t="s">
        <v>27</v>
      </c>
      <c r="B29" s="29"/>
      <c r="C29" s="40"/>
      <c r="D29" s="29"/>
      <c r="E29" s="29"/>
      <c r="F29" s="40"/>
      <c r="G29" s="9"/>
      <c r="H29" s="4"/>
      <c r="I29" s="67">
        <v>27944</v>
      </c>
      <c r="J29" s="60">
        <f>I29/E$5</f>
        <v>38.197823828530815</v>
      </c>
      <c r="K29" s="2" t="s">
        <v>43</v>
      </c>
      <c r="L29" s="1"/>
      <c r="N29" s="6"/>
    </row>
    <row r="30" spans="1:14" ht="12.75">
      <c r="A30" s="8"/>
      <c r="B30" s="29"/>
      <c r="C30" s="29"/>
      <c r="D30" s="29"/>
      <c r="E30" s="29"/>
      <c r="F30" s="40"/>
      <c r="G30" s="9"/>
      <c r="H30" s="4"/>
      <c r="I30" s="3"/>
      <c r="J30" s="5"/>
      <c r="K30" s="1"/>
      <c r="L30" s="1"/>
      <c r="N30" s="6"/>
    </row>
    <row r="31" spans="1:14" ht="12.75">
      <c r="A31" s="8" t="s">
        <v>46</v>
      </c>
      <c r="B31" s="9"/>
      <c r="C31" s="29"/>
      <c r="D31" s="29"/>
      <c r="E31" s="29"/>
      <c r="F31" s="9"/>
      <c r="G31" s="9"/>
      <c r="H31" s="4"/>
      <c r="I31" s="3">
        <f>SUM(I11:I30)</f>
        <v>953582.6700088399</v>
      </c>
      <c r="J31" s="3">
        <f>SUM(J11:J29)</f>
        <v>1303.4920854186125</v>
      </c>
      <c r="K31" s="1"/>
      <c r="L31" s="1"/>
      <c r="N31" s="6"/>
    </row>
    <row r="32" spans="1:14" ht="12.75">
      <c r="A32" s="51" t="s">
        <v>45</v>
      </c>
      <c r="B32" s="1"/>
      <c r="C32" s="1"/>
      <c r="D32" s="1"/>
      <c r="E32" s="1"/>
      <c r="F32" s="1"/>
      <c r="G32" s="1"/>
      <c r="H32" s="1"/>
      <c r="I32" s="3">
        <v>394875</v>
      </c>
      <c r="J32" s="60">
        <f>+I32/E5</f>
        <v>539.7711739296846</v>
      </c>
      <c r="K32" s="1"/>
      <c r="L32" s="1"/>
      <c r="N32" s="6"/>
    </row>
    <row r="33" spans="1:14" ht="13.5" thickBot="1">
      <c r="A33" s="1"/>
      <c r="B33" s="1"/>
      <c r="C33" s="1"/>
      <c r="D33" s="1"/>
      <c r="E33" s="1"/>
      <c r="F33" s="1"/>
      <c r="G33" s="1"/>
      <c r="H33" s="1"/>
      <c r="I33" s="1"/>
      <c r="J33" s="5"/>
      <c r="K33" s="3"/>
      <c r="L33" s="1"/>
      <c r="N33" s="6"/>
    </row>
    <row r="34" spans="1:12" ht="12.75">
      <c r="A34" s="56" t="s">
        <v>32</v>
      </c>
      <c r="B34" s="11"/>
      <c r="C34" s="11"/>
      <c r="D34" s="11"/>
      <c r="E34" s="11"/>
      <c r="F34" s="11"/>
      <c r="G34" s="11"/>
      <c r="H34" s="11"/>
      <c r="I34" s="12">
        <f>+I31</f>
        <v>953582.6700088399</v>
      </c>
      <c r="J34" s="13">
        <f>I34/E$5</f>
        <v>1303.4920854186123</v>
      </c>
      <c r="K34" s="1"/>
      <c r="L34" s="1"/>
    </row>
    <row r="35" spans="1:12" ht="12.75">
      <c r="A35" s="57" t="s">
        <v>31</v>
      </c>
      <c r="B35" s="14"/>
      <c r="C35" s="14"/>
      <c r="D35" s="14"/>
      <c r="E35" s="14"/>
      <c r="F35" s="14"/>
      <c r="G35" s="14"/>
      <c r="H35" s="14"/>
      <c r="I35" s="15">
        <f>-I32</f>
        <v>-394875</v>
      </c>
      <c r="J35" s="16">
        <f>I35/E$5</f>
        <v>-539.7711739296846</v>
      </c>
      <c r="K35" s="1"/>
      <c r="L35" s="1"/>
    </row>
    <row r="36" spans="1:12" ht="13.5" thickBot="1">
      <c r="A36" s="58" t="s">
        <v>33</v>
      </c>
      <c r="B36" s="17"/>
      <c r="C36" s="17"/>
      <c r="D36" s="17"/>
      <c r="E36" s="17"/>
      <c r="F36" s="17"/>
      <c r="G36" s="17"/>
      <c r="H36" s="17"/>
      <c r="I36" s="18">
        <f>+I34+I35</f>
        <v>558707.6700088399</v>
      </c>
      <c r="J36" s="19">
        <f>+J34+J35</f>
        <v>763.7209114889278</v>
      </c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4"/>
      <c r="J37" s="1"/>
      <c r="K37" s="1"/>
      <c r="L37" s="1"/>
    </row>
    <row r="38" spans="1:12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3.5" thickBot="1">
      <c r="A39" s="20" t="s">
        <v>16</v>
      </c>
      <c r="B39" s="21"/>
      <c r="C39" s="21"/>
      <c r="D39" s="21"/>
      <c r="E39" s="21"/>
      <c r="F39" s="21"/>
      <c r="G39" s="50">
        <v>1079740079</v>
      </c>
      <c r="H39" s="22">
        <v>338</v>
      </c>
      <c r="I39" s="23">
        <f>+H39*G39/1000000</f>
        <v>364952.146702</v>
      </c>
      <c r="J39" s="24">
        <f>I39/E$5</f>
        <v>498.8683726584286</v>
      </c>
      <c r="K39" s="1"/>
      <c r="L39" s="1"/>
    </row>
    <row r="40" spans="1:12" ht="13.5" thickBot="1">
      <c r="A40" s="1" t="s">
        <v>17</v>
      </c>
      <c r="B40" s="1"/>
      <c r="C40" s="1"/>
      <c r="D40" s="1"/>
      <c r="E40" s="1"/>
      <c r="F40" s="1"/>
      <c r="G40" s="1"/>
      <c r="H40" s="1"/>
      <c r="I40" s="25">
        <f>(I39-I36)/I36</f>
        <v>-0.34679230965949387</v>
      </c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26"/>
      <c r="I41" s="4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27" t="s">
        <v>34</v>
      </c>
      <c r="B44" s="28"/>
      <c r="C44" s="28"/>
      <c r="D44" s="28"/>
      <c r="E44" s="28"/>
      <c r="F44" s="28"/>
      <c r="G44" s="28"/>
      <c r="H44" s="28"/>
      <c r="I44" s="28"/>
      <c r="J44" s="28"/>
      <c r="K44" s="1"/>
      <c r="L44" s="1"/>
    </row>
    <row r="45" spans="1:12" ht="12.75">
      <c r="A45" s="64"/>
      <c r="B45" s="63" t="s">
        <v>56</v>
      </c>
      <c r="C45" s="63" t="s">
        <v>57</v>
      </c>
      <c r="F45" s="63" t="s">
        <v>54</v>
      </c>
      <c r="G45" s="63" t="s">
        <v>58</v>
      </c>
      <c r="H45" s="1"/>
      <c r="I45" s="1"/>
      <c r="J45" s="1"/>
      <c r="K45" s="1"/>
      <c r="L45" s="1"/>
    </row>
    <row r="46" spans="1:12" ht="12.75">
      <c r="A46" s="1"/>
      <c r="B46" s="65" t="str">
        <f>+B9</f>
        <v>as of 31,03,03</v>
      </c>
      <c r="C46" s="65" t="str">
        <f>+B46</f>
        <v>as of 31,03,03</v>
      </c>
      <c r="D46" s="65" t="s">
        <v>23</v>
      </c>
      <c r="E46" s="65" t="s">
        <v>37</v>
      </c>
      <c r="F46" s="65" t="str">
        <f>+B46</f>
        <v>as of 31,03,03</v>
      </c>
      <c r="G46" s="65" t="str">
        <f>+F46</f>
        <v>as of 31,03,03</v>
      </c>
      <c r="I46" s="1"/>
      <c r="J46" s="5"/>
      <c r="K46" s="1"/>
      <c r="L46" s="1"/>
    </row>
    <row r="47" spans="1:12" ht="12.75">
      <c r="A47" s="1" t="s">
        <v>18</v>
      </c>
      <c r="B47" s="1">
        <f>+B13</f>
        <v>68079783606</v>
      </c>
      <c r="C47" s="1">
        <f>(+B47*G47)/E$5</f>
        <v>1935671030.4073489</v>
      </c>
      <c r="D47" s="1">
        <f>+D13</f>
        <v>13762345978</v>
      </c>
      <c r="E47" s="35">
        <f>+D47/B47</f>
        <v>0.2021502603129176</v>
      </c>
      <c r="F47" s="43">
        <f>+C47*E47</f>
        <v>391296402.677019</v>
      </c>
      <c r="G47" s="42">
        <f>+H13</f>
        <v>20.8</v>
      </c>
      <c r="I47" s="1"/>
      <c r="J47" s="5"/>
      <c r="K47" s="1"/>
      <c r="L47" s="1"/>
    </row>
    <row r="48" spans="1:12" ht="12.75">
      <c r="A48" s="1"/>
      <c r="B48" s="1"/>
      <c r="C48" s="1"/>
      <c r="D48" s="1"/>
      <c r="E48" s="35"/>
      <c r="F48" s="1"/>
      <c r="G48" s="42"/>
      <c r="I48" s="1"/>
      <c r="J48" s="5"/>
      <c r="K48" s="1"/>
      <c r="L48" s="1"/>
    </row>
    <row r="49" spans="1:12" ht="12.75">
      <c r="A49" s="1" t="s">
        <v>19</v>
      </c>
      <c r="B49" s="1">
        <v>567712826</v>
      </c>
      <c r="C49" s="1">
        <f>(+B49*G49)/E$5</f>
        <v>5758145.837552628</v>
      </c>
      <c r="D49" s="1">
        <v>377529029</v>
      </c>
      <c r="E49" s="35">
        <f>+D49/B49</f>
        <v>0.6649999994891783</v>
      </c>
      <c r="F49" s="1">
        <f>+C49*E49</f>
        <v>3829166.9790311116</v>
      </c>
      <c r="G49" s="42">
        <v>7.42</v>
      </c>
      <c r="I49" s="1"/>
      <c r="J49" s="5"/>
      <c r="K49" s="1"/>
      <c r="L49" s="1"/>
    </row>
    <row r="50" spans="1:12" ht="12.75">
      <c r="A50" s="1" t="s">
        <v>20</v>
      </c>
      <c r="B50" s="1">
        <v>11000000000</v>
      </c>
      <c r="C50" s="1">
        <f>(+B50*G50)/E$5</f>
        <v>368841926.84127074</v>
      </c>
      <c r="D50" s="1">
        <v>5811599313</v>
      </c>
      <c r="E50" s="35">
        <f>+D50/B50</f>
        <v>0.5283272102727272</v>
      </c>
      <c r="F50" s="1">
        <f>+C50*E50</f>
        <v>194869226.23966593</v>
      </c>
      <c r="G50" s="42">
        <v>24.53</v>
      </c>
      <c r="I50" s="1"/>
      <c r="J50" s="5"/>
      <c r="K50" s="1"/>
      <c r="L50" s="1"/>
    </row>
    <row r="51" spans="1:12" ht="12.75">
      <c r="A51" s="1" t="s">
        <v>21</v>
      </c>
      <c r="B51" s="1">
        <v>429418369</v>
      </c>
      <c r="C51" s="1">
        <f>(+B51*G51)/E$5</f>
        <v>13060526.42332823</v>
      </c>
      <c r="D51" s="1">
        <v>223364748</v>
      </c>
      <c r="E51" s="35">
        <f>+D51/B51</f>
        <v>0.5201564817084012</v>
      </c>
      <c r="F51" s="1">
        <f>+C51*E51</f>
        <v>6793517.473618021</v>
      </c>
      <c r="G51" s="42">
        <v>22.25</v>
      </c>
      <c r="I51" s="1"/>
      <c r="J51" s="5"/>
      <c r="K51" s="1"/>
      <c r="L51" s="1"/>
    </row>
    <row r="52" spans="1:12" ht="12.75">
      <c r="A52" s="1" t="s">
        <v>22</v>
      </c>
      <c r="B52" s="43">
        <v>584921232</v>
      </c>
      <c r="C52" s="43">
        <f>(+B52*G52)/E$5</f>
        <v>15751200.544589644</v>
      </c>
      <c r="D52" s="43">
        <v>47867153</v>
      </c>
      <c r="E52" s="44">
        <f>+D52/B52</f>
        <v>0.08183521195893262</v>
      </c>
      <c r="F52" s="43">
        <f>+C52*E52</f>
        <v>1289002.8351741484</v>
      </c>
      <c r="G52" s="42">
        <v>19.7</v>
      </c>
      <c r="H52" s="1"/>
      <c r="I52" s="1"/>
      <c r="J52" s="1"/>
      <c r="K52" s="1"/>
      <c r="L52" s="1"/>
    </row>
    <row r="53" spans="1:12" ht="12.75">
      <c r="A53" s="1" t="s">
        <v>38</v>
      </c>
      <c r="B53" s="1">
        <f>SUM(B49:B52)</f>
        <v>12582052427</v>
      </c>
      <c r="C53" s="1">
        <f>SUM(C49:C52)</f>
        <v>403411799.6467412</v>
      </c>
      <c r="D53" s="1">
        <f>SUM(D49:D52)</f>
        <v>6460360243</v>
      </c>
      <c r="E53" s="35">
        <f>+D53/B53</f>
        <v>0.5134583789475097</v>
      </c>
      <c r="F53" s="1">
        <f>SUM(F49:F52)</f>
        <v>206780913.52748922</v>
      </c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35"/>
      <c r="F54" s="1"/>
      <c r="G54" s="1"/>
      <c r="H54" s="1"/>
      <c r="I54" s="1"/>
      <c r="J54" s="1"/>
      <c r="K54" s="1"/>
      <c r="L54" s="1"/>
    </row>
    <row r="55" spans="1:7" ht="12.75">
      <c r="A55" s="1"/>
      <c r="B55" s="1"/>
      <c r="C55" s="1"/>
      <c r="D55" s="1"/>
      <c r="E55" s="1"/>
      <c r="F55" s="1">
        <f>+F47+F53</f>
        <v>598077316.2045082</v>
      </c>
      <c r="G55" s="1"/>
    </row>
    <row r="57" spans="4:8" ht="12.75">
      <c r="D57" s="36"/>
      <c r="H57" s="36"/>
    </row>
    <row r="58" spans="3:8" ht="12.75">
      <c r="C58" s="6"/>
      <c r="D58" s="10"/>
      <c r="H58" s="36"/>
    </row>
    <row r="59" ht="12.75">
      <c r="H59" s="36"/>
    </row>
    <row r="60" ht="12.75">
      <c r="H60" s="36"/>
    </row>
    <row r="61" ht="12.75">
      <c r="H61" s="36"/>
    </row>
  </sheetData>
  <printOptions/>
  <pageMargins left="0.75" right="0.75" top="1" bottom="1" header="0" footer="0"/>
  <pageSetup fitToHeight="1" fitToWidth="1" horizontalDpi="300" verticalDpi="3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J.ESCOBAR</cp:lastModifiedBy>
  <cp:lastPrinted>2003-03-31T20:00:56Z</cp:lastPrinted>
  <dcterms:created xsi:type="dcterms:W3CDTF">2000-08-28T16:15:11Z</dcterms:created>
  <dcterms:modified xsi:type="dcterms:W3CDTF">2003-05-14T16:49:45Z</dcterms:modified>
  <cp:category/>
  <cp:version/>
  <cp:contentType/>
  <cp:contentStatus/>
</cp:coreProperties>
</file>