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2120" windowHeight="8535" activeTab="0"/>
  </bookViews>
  <sheets>
    <sheet name="Hoja1" sheetId="1" r:id="rId1"/>
  </sheets>
  <definedNames>
    <definedName name="_xlnm.Print_Area" localSheetId="0">'Hoja1'!$A$1:$O$65</definedName>
  </definedNames>
  <calcPr fullCalcOnLoad="1"/>
</workbook>
</file>

<file path=xl/sharedStrings.xml><?xml version="1.0" encoding="utf-8"?>
<sst xmlns="http://schemas.openxmlformats.org/spreadsheetml/2006/main" count="78" uniqueCount="70">
  <si>
    <t>Quiñenco S.A.</t>
  </si>
  <si>
    <t>MMUS$</t>
  </si>
  <si>
    <t>Madeco</t>
  </si>
  <si>
    <t>Lucchetti</t>
  </si>
  <si>
    <t>Carrera</t>
  </si>
  <si>
    <t>CCU</t>
  </si>
  <si>
    <t>Habitaria</t>
  </si>
  <si>
    <t>Banco Edwards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</si>
  <si>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</si>
  <si>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</si>
  <si>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</si>
  <si>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</si>
  <si>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</si>
  <si>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</si>
  <si>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</si>
  <si>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</si>
  <si>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</si>
  <si>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</si>
  <si>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</si>
  <si>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</si>
  <si>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Total Banco de Chile</t>
  </si>
  <si>
    <t>n.a.</t>
  </si>
  <si>
    <t>see detail</t>
  </si>
  <si>
    <t>MCh$</t>
  </si>
  <si>
    <t>Total</t>
  </si>
  <si>
    <t>NAV Estimado</t>
  </si>
  <si>
    <t xml:space="preserve">Dólar observado </t>
  </si>
  <si>
    <t>Acciones de</t>
  </si>
  <si>
    <t>Activos</t>
  </si>
  <si>
    <t>Participación %</t>
  </si>
  <si>
    <t>Acción</t>
  </si>
  <si>
    <t>Total acciones S/P</t>
  </si>
  <si>
    <t>Valor bursátil</t>
  </si>
  <si>
    <t>de la empresa en US$</t>
  </si>
  <si>
    <t>Quiñenco</t>
  </si>
  <si>
    <t xml:space="preserve">Valor de la </t>
  </si>
  <si>
    <t>Inversión</t>
  </si>
  <si>
    <t>Precio por</t>
  </si>
  <si>
    <t>Por sector</t>
  </si>
  <si>
    <t>Efectivo</t>
  </si>
  <si>
    <t>Manufacturero</t>
  </si>
  <si>
    <t>Telecomunicaciones</t>
  </si>
  <si>
    <t>Financiero</t>
  </si>
  <si>
    <t>Alimentos y bebidas</t>
  </si>
  <si>
    <t>Inmob./Hotelero</t>
  </si>
  <si>
    <t>Otros activos</t>
  </si>
  <si>
    <t>menos deuda</t>
  </si>
  <si>
    <t>Valor libro</t>
  </si>
  <si>
    <t>Efectivo y equivalentes</t>
  </si>
  <si>
    <t>Sector Financiero:</t>
  </si>
  <si>
    <t>Alimentos y Bebidas</t>
  </si>
  <si>
    <t>Telecomunicaciones:</t>
  </si>
  <si>
    <t>Manufacturero: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</si>
  <si>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</si>
  <si>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</si>
  <si>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</si>
  <si>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</si>
  <si>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</si>
  <si>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</si>
  <si>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</si>
  <si>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conversión/derechos de votos</t>
  </si>
  <si>
    <t>Acciones Quiñenco</t>
  </si>
  <si>
    <t>Partic.%</t>
  </si>
  <si>
    <t>Valor estim. Inversión</t>
  </si>
  <si>
    <t>al  30.9.01</t>
  </si>
  <si>
    <t>Al 30.9.01</t>
  </si>
  <si>
    <t>Acciones s/p al 30.9.01</t>
  </si>
  <si>
    <t>Valor Bursátil 30.9.01</t>
  </si>
  <si>
    <t>Precio/acción 30.9.01</t>
  </si>
  <si>
    <t>Al 30 de Septiembre del 2001</t>
  </si>
</sst>
</file>

<file path=xl/styles.xml><?xml version="1.0" encoding="utf-8"?>
<styleSheet xmlns="http://schemas.openxmlformats.org/spreadsheetml/2006/main">
  <numFmts count="37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</numFmts>
  <fonts count="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0" fontId="6" fillId="0" borderId="0" xfId="0" applyFont="1" applyAlignment="1" quotePrefix="1">
      <alignment horizontal="left"/>
    </xf>
    <xf numFmtId="180" fontId="0" fillId="0" borderId="0" xfId="0" applyNumberFormat="1" applyAlignment="1" quotePrefix="1">
      <alignment horizontal="left"/>
    </xf>
    <xf numFmtId="18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80" fontId="4" fillId="0" borderId="0" xfId="0" applyNumberFormat="1" applyFont="1" applyAlignment="1" quotePrefix="1">
      <alignment horizontal="left"/>
    </xf>
    <xf numFmtId="180" fontId="7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1" fillId="0" borderId="13" xfId="0" applyNumberFormat="1" applyFont="1" applyBorder="1" applyAlignment="1" quotePrefix="1">
      <alignment horizontal="left"/>
    </xf>
    <xf numFmtId="182" fontId="8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180" fontId="7" fillId="0" borderId="0" xfId="0" applyNumberFormat="1" applyFont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13" xfId="0" applyNumberFormat="1" applyBorder="1" applyAlignment="1" quotePrefix="1">
      <alignment horizontal="left"/>
    </xf>
    <xf numFmtId="180" fontId="0" fillId="0" borderId="13" xfId="0" applyNumberFormat="1" applyBorder="1" applyAlignment="1">
      <alignment horizontal="center"/>
    </xf>
    <xf numFmtId="10" fontId="0" fillId="2" borderId="0" xfId="19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B13" sqref="B13"/>
    </sheetView>
  </sheetViews>
  <sheetFormatPr defaultColWidth="11.421875" defaultRowHeight="12.75"/>
  <cols>
    <col min="1" max="1" width="35.7109375" style="0" customWidth="1"/>
    <col min="2" max="2" width="18.57421875" style="0" customWidth="1"/>
    <col min="3" max="3" width="18.28125" style="0" bestFit="1" customWidth="1"/>
    <col min="4" max="4" width="16.57421875" style="0" customWidth="1"/>
    <col min="5" max="5" width="14.00390625" style="0" customWidth="1"/>
    <col min="6" max="6" width="18.7109375" style="0" customWidth="1"/>
    <col min="7" max="7" width="18.42187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59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59" t="s">
        <v>69</v>
      </c>
      <c r="B4" s="2"/>
      <c r="C4" s="2"/>
      <c r="D4" s="1"/>
      <c r="E4" s="56">
        <f>DATE(1,9,30)</f>
        <v>639</v>
      </c>
      <c r="F4" s="1"/>
      <c r="G4" s="2"/>
      <c r="H4" s="3"/>
      <c r="I4" s="1"/>
      <c r="J4" s="1"/>
      <c r="K4" s="1"/>
      <c r="L4" s="1"/>
      <c r="N4" s="6"/>
      <c r="O4" s="10"/>
    </row>
    <row r="5" spans="2:15" ht="12.75">
      <c r="B5" s="1"/>
      <c r="C5" s="1"/>
      <c r="D5" s="60" t="s">
        <v>26</v>
      </c>
      <c r="E5" s="4">
        <v>695.02</v>
      </c>
      <c r="F5" s="1"/>
      <c r="G5" s="1"/>
      <c r="J5" s="1"/>
      <c r="K5" s="1"/>
      <c r="L5" s="1"/>
      <c r="N5" s="6"/>
      <c r="O5" s="10"/>
    </row>
    <row r="6" spans="1:15" ht="12.75">
      <c r="A6" s="1"/>
      <c r="B6" s="1"/>
      <c r="C6" s="1"/>
      <c r="D6" s="1"/>
      <c r="E6" s="1"/>
      <c r="F6" s="1"/>
      <c r="G6" s="1"/>
      <c r="J6" s="1"/>
      <c r="K6" s="1"/>
      <c r="L6" s="1"/>
      <c r="N6" s="6"/>
      <c r="O6" s="10"/>
    </row>
    <row r="7" spans="1:15" ht="12.75">
      <c r="A7" s="1"/>
      <c r="B7" s="1"/>
      <c r="C7" s="61" t="s">
        <v>32</v>
      </c>
      <c r="E7" s="1"/>
      <c r="F7" s="36" t="s">
        <v>35</v>
      </c>
      <c r="G7" s="1"/>
      <c r="H7" s="4"/>
      <c r="K7" s="1"/>
      <c r="L7" s="1"/>
      <c r="N7" s="6"/>
      <c r="O7" s="10"/>
    </row>
    <row r="8" spans="2:15" ht="12.75">
      <c r="B8" s="60" t="s">
        <v>31</v>
      </c>
      <c r="C8" s="36" t="s">
        <v>33</v>
      </c>
      <c r="D8" s="62" t="s">
        <v>27</v>
      </c>
      <c r="F8" s="36" t="s">
        <v>36</v>
      </c>
      <c r="G8" s="1"/>
      <c r="H8" s="50" t="s">
        <v>37</v>
      </c>
      <c r="I8" s="1"/>
      <c r="J8" s="1"/>
      <c r="K8" s="1"/>
      <c r="L8" s="1"/>
      <c r="N8" s="6"/>
      <c r="O8" s="10"/>
    </row>
    <row r="9" spans="1:13" ht="15">
      <c r="A9" s="63" t="s">
        <v>28</v>
      </c>
      <c r="B9" s="37" t="s">
        <v>64</v>
      </c>
      <c r="C9" s="37" t="s">
        <v>64</v>
      </c>
      <c r="D9" s="64" t="s">
        <v>34</v>
      </c>
      <c r="E9" s="37" t="s">
        <v>29</v>
      </c>
      <c r="F9" s="37" t="s">
        <v>64</v>
      </c>
      <c r="G9" s="37"/>
      <c r="H9" s="37" t="s">
        <v>30</v>
      </c>
      <c r="I9" s="70" t="s">
        <v>23</v>
      </c>
      <c r="J9" s="70" t="s">
        <v>1</v>
      </c>
      <c r="K9" s="1"/>
      <c r="L9" s="1"/>
      <c r="M9" s="69" t="s">
        <v>65</v>
      </c>
    </row>
    <row r="10" spans="1:12" ht="14.25">
      <c r="A10" s="33"/>
      <c r="K10" s="1"/>
      <c r="L10" s="1"/>
    </row>
    <row r="11" spans="1:15" ht="15">
      <c r="A11" s="63" t="s">
        <v>48</v>
      </c>
      <c r="B11" s="9"/>
      <c r="C11" s="9"/>
      <c r="D11" s="9"/>
      <c r="E11" s="9"/>
      <c r="F11" s="9"/>
      <c r="G11" s="9"/>
      <c r="H11" s="4"/>
      <c r="I11" s="3">
        <v>52716</v>
      </c>
      <c r="J11" s="57">
        <f>(+I11/E$5)</f>
        <v>75.84817703087681</v>
      </c>
      <c r="K11" s="1"/>
      <c r="L11" s="1"/>
      <c r="M11" t="s">
        <v>38</v>
      </c>
      <c r="N11" s="6"/>
      <c r="O11" s="7"/>
    </row>
    <row r="12" spans="1:15" ht="15">
      <c r="A12" s="31" t="s">
        <v>49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t="s">
        <v>39</v>
      </c>
      <c r="N12" s="6">
        <f>+J11</f>
        <v>75.84817703087681</v>
      </c>
      <c r="O12" s="10">
        <f>+N12/N$19</f>
        <v>0.0521821818773298</v>
      </c>
    </row>
    <row r="13" spans="1:15" ht="14.25">
      <c r="A13" s="51" t="s">
        <v>7</v>
      </c>
      <c r="B13" s="28">
        <v>7381357228</v>
      </c>
      <c r="C13" s="38">
        <f>(+B13*H13)/E$5</f>
        <v>663772016.272913</v>
      </c>
      <c r="D13" s="28">
        <v>3777471478</v>
      </c>
      <c r="E13" s="9">
        <f>+D13/B13</f>
        <v>0.5117583882366193</v>
      </c>
      <c r="F13" s="38">
        <f>+C13*E13</f>
        <v>339690897.204397</v>
      </c>
      <c r="G13" s="45"/>
      <c r="H13" s="4">
        <v>62.5</v>
      </c>
      <c r="I13" s="1">
        <f>+H13*D13/1000000</f>
        <v>236091.967375</v>
      </c>
      <c r="J13" s="5">
        <f>(+I13/E$5)</f>
        <v>339.690897204397</v>
      </c>
      <c r="K13" s="1"/>
      <c r="L13" s="1"/>
      <c r="M13" t="s">
        <v>40</v>
      </c>
      <c r="N13" s="6">
        <f>+J23</f>
        <v>69.49269601450318</v>
      </c>
      <c r="O13" s="10">
        <f aca="true" t="shared" si="0" ref="O13:O18">+N13/N$19</f>
        <v>0.04780972522383214</v>
      </c>
    </row>
    <row r="14" spans="1:15" ht="14.25">
      <c r="A14" s="51" t="s">
        <v>12</v>
      </c>
      <c r="B14" s="28">
        <v>44932657180</v>
      </c>
      <c r="C14" s="38">
        <f>+C47</f>
        <v>1486937232.2235332</v>
      </c>
      <c r="D14" s="28">
        <f>+D47</f>
        <v>1916851594</v>
      </c>
      <c r="E14" s="9">
        <f>+E47</f>
        <v>0.04266054389619341</v>
      </c>
      <c r="F14" s="38">
        <f>+C14*E14</f>
        <v>63433551.06615637</v>
      </c>
      <c r="G14" s="45"/>
      <c r="H14" s="4">
        <v>23</v>
      </c>
      <c r="I14" s="1">
        <f>+H14*D14/1000000</f>
        <v>44087.586662</v>
      </c>
      <c r="J14" s="5">
        <f>(+I14/E$5)</f>
        <v>63.433551066156376</v>
      </c>
      <c r="K14" s="1"/>
      <c r="L14" s="1"/>
      <c r="M14" s="65" t="s">
        <v>41</v>
      </c>
      <c r="N14" s="6">
        <f>+J20+J21</f>
        <v>164.17141394492245</v>
      </c>
      <c r="O14" s="10">
        <f t="shared" si="0"/>
        <v>0.11294698062479337</v>
      </c>
    </row>
    <row r="15" spans="1:15" ht="14.25">
      <c r="A15" s="51" t="s">
        <v>18</v>
      </c>
      <c r="B15" s="28">
        <v>12582052427</v>
      </c>
      <c r="C15" s="38">
        <f>+C53</f>
        <v>556369432.4148946</v>
      </c>
      <c r="D15" s="28">
        <f>+D53</f>
        <v>6460360243</v>
      </c>
      <c r="E15" s="9">
        <f>+E53</f>
        <v>0.5134583789475097</v>
      </c>
      <c r="F15" s="38">
        <f>+F53</f>
        <v>286485556.1584558</v>
      </c>
      <c r="G15" s="46"/>
      <c r="H15" s="46" t="s">
        <v>22</v>
      </c>
      <c r="I15" s="1">
        <f>+(+D49*G49/1000000)+(D50*G50/1000000)+(D51*G51/1000000)+(D52*G52/1000000)</f>
        <v>199113.19124125002</v>
      </c>
      <c r="J15" s="5">
        <f>(+I15/E$5)</f>
        <v>286.4855561584559</v>
      </c>
      <c r="K15" s="1"/>
      <c r="L15" s="1"/>
      <c r="M15" s="65" t="s">
        <v>42</v>
      </c>
      <c r="N15" s="6">
        <f>+J13+J14+J15</f>
        <v>689.6100044290092</v>
      </c>
      <c r="O15" s="10">
        <f t="shared" si="0"/>
        <v>0.47443928231645693</v>
      </c>
    </row>
    <row r="16" spans="1:15" ht="15">
      <c r="A16" s="63" t="s">
        <v>50</v>
      </c>
      <c r="B16" s="28"/>
      <c r="C16" s="38"/>
      <c r="D16" s="28"/>
      <c r="E16" s="9"/>
      <c r="F16" s="38"/>
      <c r="G16" s="46"/>
      <c r="H16" s="46"/>
      <c r="I16" s="1"/>
      <c r="J16" s="5"/>
      <c r="K16" s="1"/>
      <c r="L16" s="1"/>
      <c r="M16" t="s">
        <v>43</v>
      </c>
      <c r="N16" s="6">
        <f>+J18+J17</f>
        <v>362.29772631147307</v>
      </c>
      <c r="O16" s="10">
        <f t="shared" si="0"/>
        <v>0.2492543207786281</v>
      </c>
    </row>
    <row r="17" spans="1:15" ht="14.25">
      <c r="A17" s="51" t="s">
        <v>5</v>
      </c>
      <c r="B17" s="28">
        <v>318502872</v>
      </c>
      <c r="C17" s="38">
        <f>(+B17*H17)/E$5</f>
        <v>1113582312.6816494</v>
      </c>
      <c r="D17" s="28">
        <v>98068980</v>
      </c>
      <c r="E17" s="9">
        <f>+D17/B17</f>
        <v>0.30790610892827364</v>
      </c>
      <c r="F17" s="38">
        <f>+C17*E17</f>
        <v>342878796.8691548</v>
      </c>
      <c r="G17" s="4"/>
      <c r="H17" s="4">
        <v>2430</v>
      </c>
      <c r="I17" s="1">
        <f>+H17*D17/1000000</f>
        <v>238307.6214</v>
      </c>
      <c r="J17" s="5">
        <f>(+I17/E$5)</f>
        <v>342.8787968691549</v>
      </c>
      <c r="K17" s="1"/>
      <c r="L17" s="1"/>
      <c r="M17" t="s">
        <v>44</v>
      </c>
      <c r="N17" s="6">
        <f>+J25+J26+J27</f>
        <v>17.49698138183074</v>
      </c>
      <c r="O17" s="10">
        <f t="shared" si="0"/>
        <v>0.01203760855582939</v>
      </c>
    </row>
    <row r="18" spans="1:15" ht="14.25">
      <c r="A18" s="51" t="s">
        <v>3</v>
      </c>
      <c r="B18" s="28">
        <v>912851326</v>
      </c>
      <c r="C18" s="38">
        <f>(+B18*H18)/E$5</f>
        <v>22328094.935397543</v>
      </c>
      <c r="D18" s="28">
        <v>793914373</v>
      </c>
      <c r="E18" s="9">
        <f>+D18/B18</f>
        <v>0.8697082979315298</v>
      </c>
      <c r="F18" s="38">
        <f>+C18*E18</f>
        <v>19418929.44231821</v>
      </c>
      <c r="G18" s="4"/>
      <c r="H18" s="4">
        <v>17</v>
      </c>
      <c r="I18" s="1">
        <f>+H18*D18/1000000</f>
        <v>13496.544341</v>
      </c>
      <c r="J18" s="5">
        <f>(+I18/E$5)</f>
        <v>19.41892944231821</v>
      </c>
      <c r="K18" s="1"/>
      <c r="L18" s="1"/>
      <c r="M18" t="s">
        <v>45</v>
      </c>
      <c r="N18" s="6">
        <f>+J29</f>
        <v>74.60936375931628</v>
      </c>
      <c r="O18" s="10">
        <f t="shared" si="0"/>
        <v>0.051329900623130295</v>
      </c>
    </row>
    <row r="19" spans="1:15" ht="15">
      <c r="A19" s="63" t="s">
        <v>51</v>
      </c>
      <c r="B19" s="28"/>
      <c r="C19" s="38"/>
      <c r="D19" s="28"/>
      <c r="E19" s="9"/>
      <c r="F19" s="38"/>
      <c r="G19" s="4"/>
      <c r="H19" s="4"/>
      <c r="I19" s="1"/>
      <c r="J19" s="5"/>
      <c r="K19" s="1"/>
      <c r="L19" s="1"/>
      <c r="M19" t="s">
        <v>24</v>
      </c>
      <c r="N19" s="6">
        <f>SUM(N12:N18)</f>
        <v>1453.5263628719317</v>
      </c>
      <c r="O19" s="10">
        <f>SUM(O12:O18)</f>
        <v>0.9999999999999999</v>
      </c>
    </row>
    <row r="20" spans="1:15" ht="14.25">
      <c r="A20" s="51" t="s">
        <v>17</v>
      </c>
      <c r="B20" s="28">
        <v>225063190</v>
      </c>
      <c r="C20" s="38">
        <f>(+B20*H20)/E$5</f>
        <v>110099687.20324595</v>
      </c>
      <c r="D20" s="28">
        <v>165556483</v>
      </c>
      <c r="E20" s="9">
        <f>+D20/B20</f>
        <v>0.7356000019372337</v>
      </c>
      <c r="F20" s="38">
        <f>+C20*E20</f>
        <v>80989330.11999655</v>
      </c>
      <c r="G20" s="4"/>
      <c r="H20" s="4">
        <v>340</v>
      </c>
      <c r="I20" s="1">
        <f>+H20*D20/1000000</f>
        <v>56289.20422</v>
      </c>
      <c r="J20" s="5">
        <f>(+I20/E$5)</f>
        <v>80.98933011999655</v>
      </c>
      <c r="K20" s="1"/>
      <c r="L20" s="1"/>
      <c r="M20" t="s">
        <v>46</v>
      </c>
      <c r="N20" s="6">
        <f>J35</f>
        <v>-493.89513970820985</v>
      </c>
      <c r="O20" s="10"/>
    </row>
    <row r="21" spans="1:15" ht="14.25">
      <c r="A21" s="51" t="s">
        <v>8</v>
      </c>
      <c r="B21" s="28">
        <v>236523695</v>
      </c>
      <c r="C21" s="38">
        <f>(+B21*H21)/E$5</f>
        <v>1463341901.6718943</v>
      </c>
      <c r="D21" s="28">
        <f>32365881-9460000-9460948</f>
        <v>13444933</v>
      </c>
      <c r="E21" s="9">
        <f>+D21/B21</f>
        <v>0.05684391578611183</v>
      </c>
      <c r="F21" s="38">
        <f>+C21*E21</f>
        <v>83182083.8249259</v>
      </c>
      <c r="G21" s="45"/>
      <c r="H21" s="4">
        <v>4300</v>
      </c>
      <c r="I21" s="1">
        <f>+H21*D21/1000000</f>
        <v>57813.2119</v>
      </c>
      <c r="J21" s="5">
        <f>(+I21/E$5)</f>
        <v>83.18208382492591</v>
      </c>
      <c r="K21" s="1"/>
      <c r="L21" s="1"/>
      <c r="N21" s="6"/>
      <c r="O21" s="10"/>
    </row>
    <row r="22" spans="1:15" ht="15">
      <c r="A22" s="63" t="s">
        <v>52</v>
      </c>
      <c r="B22" s="28"/>
      <c r="C22" s="38"/>
      <c r="D22" s="28"/>
      <c r="E22" s="9"/>
      <c r="F22" s="38"/>
      <c r="G22" s="45"/>
      <c r="H22" s="4"/>
      <c r="I22" s="1"/>
      <c r="J22" s="5"/>
      <c r="K22" s="1"/>
      <c r="L22" s="1"/>
      <c r="M22" t="s">
        <v>9</v>
      </c>
      <c r="N22" s="6">
        <f>+N19+N20</f>
        <v>959.6312231637219</v>
      </c>
      <c r="O22" s="10"/>
    </row>
    <row r="23" spans="1:12" ht="14.25">
      <c r="A23" s="51" t="s">
        <v>2</v>
      </c>
      <c r="B23" s="28">
        <f>370917661+15082339</f>
        <v>386000000</v>
      </c>
      <c r="C23" s="38">
        <f>(+B23*H23)/E$5</f>
        <v>123849673.3906938</v>
      </c>
      <c r="D23" s="28">
        <v>216586608</v>
      </c>
      <c r="E23" s="9">
        <f>+D23/B23</f>
        <v>0.5611052020725389</v>
      </c>
      <c r="F23" s="38">
        <f>+C23*E23</f>
        <v>69492696.01450318</v>
      </c>
      <c r="G23" s="4"/>
      <c r="H23" s="4">
        <v>223</v>
      </c>
      <c r="I23" s="1">
        <f>+H23*D23/1000000</f>
        <v>48298.813584</v>
      </c>
      <c r="J23" s="5">
        <f>(+I23/E$5)</f>
        <v>69.49269601450318</v>
      </c>
      <c r="K23" s="1"/>
      <c r="L23" s="1"/>
    </row>
    <row r="24" spans="1:12" ht="15">
      <c r="A24" s="52" t="s">
        <v>44</v>
      </c>
      <c r="K24" s="1"/>
      <c r="L24" s="1"/>
    </row>
    <row r="25" spans="1:12" ht="14.25">
      <c r="A25" s="51" t="s">
        <v>4</v>
      </c>
      <c r="B25" s="28">
        <v>6667233</v>
      </c>
      <c r="C25" s="38">
        <f>(+B25*H25)/E$5</f>
        <v>7674291.9628212135</v>
      </c>
      <c r="D25" s="28">
        <v>5813440</v>
      </c>
      <c r="E25" s="9">
        <f>+D25/B25</f>
        <v>0.8719419285331711</v>
      </c>
      <c r="F25" s="38">
        <f>+C25*E25</f>
        <v>6691536.934188944</v>
      </c>
      <c r="G25" s="4"/>
      <c r="H25" s="68">
        <v>800</v>
      </c>
      <c r="I25" s="1">
        <f>+H25*D25/1000000</f>
        <v>4650.752</v>
      </c>
      <c r="J25" s="5">
        <f>(+I25/E$5)</f>
        <v>6.691536934188945</v>
      </c>
      <c r="K25" s="1"/>
      <c r="L25" s="1"/>
    </row>
    <row r="26" spans="1:12" ht="14.25">
      <c r="A26" s="58" t="s">
        <v>6</v>
      </c>
      <c r="B26" s="71" t="s">
        <v>21</v>
      </c>
      <c r="C26" s="71" t="s">
        <v>21</v>
      </c>
      <c r="D26" s="71" t="s">
        <v>21</v>
      </c>
      <c r="E26" s="30">
        <v>0.5</v>
      </c>
      <c r="F26" s="29">
        <f>+J26*1000000</f>
        <v>10805444.447641796</v>
      </c>
      <c r="G26" s="44"/>
      <c r="H26" s="44" t="s">
        <v>21</v>
      </c>
      <c r="I26" s="3">
        <v>7510</v>
      </c>
      <c r="J26" s="57">
        <f>(+I26/E$5)</f>
        <v>10.805444447641795</v>
      </c>
      <c r="K26" s="2" t="s">
        <v>47</v>
      </c>
      <c r="L26" s="1"/>
    </row>
    <row r="27" spans="1:12" ht="14.25">
      <c r="A27" s="58"/>
      <c r="B27" s="43"/>
      <c r="C27" s="43"/>
      <c r="D27" s="43"/>
      <c r="E27" s="9"/>
      <c r="F27" s="39"/>
      <c r="G27" s="47"/>
      <c r="H27" s="47"/>
      <c r="I27" s="3"/>
      <c r="J27" s="57"/>
      <c r="K27" s="2"/>
      <c r="L27" s="1"/>
    </row>
    <row r="28" spans="1:14" ht="14.25">
      <c r="A28" s="32"/>
      <c r="B28" s="28"/>
      <c r="C28" s="38"/>
      <c r="D28" s="28"/>
      <c r="E28" s="28"/>
      <c r="F28" s="38"/>
      <c r="G28" s="9"/>
      <c r="H28" s="4"/>
      <c r="I28" s="3"/>
      <c r="J28" s="5"/>
      <c r="K28" s="1"/>
      <c r="L28" s="1"/>
      <c r="N28" s="6"/>
    </row>
    <row r="29" spans="1:14" ht="15">
      <c r="A29" s="63" t="s">
        <v>53</v>
      </c>
      <c r="B29" s="28"/>
      <c r="C29" s="38"/>
      <c r="D29" s="28"/>
      <c r="E29" s="28"/>
      <c r="F29" s="38"/>
      <c r="G29" s="9"/>
      <c r="H29" s="4"/>
      <c r="I29" s="3">
        <v>51855</v>
      </c>
      <c r="J29" s="57">
        <f>I29/E$5</f>
        <v>74.60936375931628</v>
      </c>
      <c r="K29" s="2" t="s">
        <v>47</v>
      </c>
      <c r="L29" s="1"/>
      <c r="N29" s="6"/>
    </row>
    <row r="30" spans="1:14" ht="12.75">
      <c r="A30" s="8"/>
      <c r="B30" s="28"/>
      <c r="C30" s="28"/>
      <c r="D30" s="28"/>
      <c r="E30" s="28"/>
      <c r="F30" s="38"/>
      <c r="G30" s="9"/>
      <c r="H30" s="4"/>
      <c r="I30" s="3"/>
      <c r="J30" s="5"/>
      <c r="K30" s="1"/>
      <c r="L30" s="1"/>
      <c r="N30" s="6"/>
    </row>
    <row r="31" spans="1:14" ht="12.75">
      <c r="A31" s="66" t="s">
        <v>54</v>
      </c>
      <c r="B31" s="9"/>
      <c r="C31" s="28"/>
      <c r="D31" s="28"/>
      <c r="E31" s="28"/>
      <c r="F31" s="9"/>
      <c r="G31" s="9"/>
      <c r="H31" s="4"/>
      <c r="I31" s="3">
        <f>SUM(I11:I30)</f>
        <v>1010229.89272325</v>
      </c>
      <c r="J31" s="3">
        <f>SUM(J11:J29)</f>
        <v>1453.5263628719317</v>
      </c>
      <c r="K31" s="1"/>
      <c r="L31" s="1"/>
      <c r="N31" s="6"/>
    </row>
    <row r="32" spans="1:14" ht="12.75">
      <c r="A32" s="49" t="s">
        <v>55</v>
      </c>
      <c r="B32" s="1"/>
      <c r="C32" s="1"/>
      <c r="D32" s="1"/>
      <c r="E32" s="1"/>
      <c r="F32" s="1"/>
      <c r="G32" s="1"/>
      <c r="H32" s="1"/>
      <c r="I32" s="3">
        <v>-343267</v>
      </c>
      <c r="J32" s="57">
        <f>+I32/E5</f>
        <v>-493.89513970820985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3" t="s">
        <v>56</v>
      </c>
      <c r="B34" s="11"/>
      <c r="C34" s="11"/>
      <c r="D34" s="11"/>
      <c r="E34" s="11"/>
      <c r="F34" s="11"/>
      <c r="G34" s="11"/>
      <c r="H34" s="11"/>
      <c r="I34" s="12">
        <f>+I31</f>
        <v>1010229.89272325</v>
      </c>
      <c r="J34" s="13">
        <f>I34/E$5</f>
        <v>1453.5263628719317</v>
      </c>
      <c r="K34" s="1"/>
      <c r="L34" s="1"/>
    </row>
    <row r="35" spans="1:12" ht="12.75">
      <c r="A35" s="54" t="s">
        <v>57</v>
      </c>
      <c r="B35" s="14"/>
      <c r="C35" s="14"/>
      <c r="D35" s="14"/>
      <c r="E35" s="14"/>
      <c r="F35" s="14"/>
      <c r="G35" s="14"/>
      <c r="H35" s="14"/>
      <c r="I35" s="15">
        <f>I32</f>
        <v>-343267</v>
      </c>
      <c r="J35" s="16">
        <f>I35/E$5</f>
        <v>-493.89513970820985</v>
      </c>
      <c r="K35" s="1"/>
      <c r="L35" s="1"/>
    </row>
    <row r="36" spans="1:12" ht="13.5" thickBot="1">
      <c r="A36" s="55" t="s">
        <v>58</v>
      </c>
      <c r="B36" s="17"/>
      <c r="C36" s="17"/>
      <c r="D36" s="17"/>
      <c r="E36" s="17"/>
      <c r="F36" s="17"/>
      <c r="G36" s="17"/>
      <c r="H36" s="17"/>
      <c r="I36" s="18">
        <f>+I34+I35</f>
        <v>666962.89272325</v>
      </c>
      <c r="J36" s="19">
        <f>+J34+J35</f>
        <v>959.6312231637219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10</v>
      </c>
      <c r="B39" s="21"/>
      <c r="C39" s="21"/>
      <c r="D39" s="21"/>
      <c r="E39" s="21"/>
      <c r="F39" s="21"/>
      <c r="G39" s="48">
        <v>1079740079</v>
      </c>
      <c r="H39" s="22">
        <v>420</v>
      </c>
      <c r="I39" s="23">
        <f>+H39*G39/1000000</f>
        <v>453490.83318</v>
      </c>
      <c r="J39" s="24">
        <f>I39/E$5</f>
        <v>652.4860193663492</v>
      </c>
      <c r="K39" s="1"/>
      <c r="L39" s="1"/>
    </row>
    <row r="40" spans="1:12" ht="13.5" thickBot="1">
      <c r="A40" s="1" t="s">
        <v>11</v>
      </c>
      <c r="B40" s="1"/>
      <c r="C40" s="1"/>
      <c r="D40" s="1"/>
      <c r="E40" s="1"/>
      <c r="F40" s="1"/>
      <c r="G40" s="1"/>
      <c r="H40" s="1"/>
      <c r="I40" s="25">
        <f>(I39-I36)/I36</f>
        <v>-0.32006587153841587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7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26"/>
      <c r="I42" s="4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67" t="s">
        <v>59</v>
      </c>
      <c r="B45" s="27"/>
      <c r="C45" s="27"/>
      <c r="D45" s="27"/>
      <c r="E45" s="27"/>
      <c r="F45" s="27"/>
      <c r="G45" s="27"/>
      <c r="H45" s="27"/>
      <c r="I45" s="27"/>
      <c r="J45" s="27"/>
      <c r="K45" s="1"/>
      <c r="L45" s="1"/>
    </row>
    <row r="46" spans="1:12" ht="12.75">
      <c r="A46" s="1"/>
      <c r="B46" s="72" t="s">
        <v>66</v>
      </c>
      <c r="C46" s="27" t="s">
        <v>67</v>
      </c>
      <c r="D46" s="27" t="s">
        <v>61</v>
      </c>
      <c r="E46" s="73" t="s">
        <v>62</v>
      </c>
      <c r="F46" s="27" t="s">
        <v>63</v>
      </c>
      <c r="G46" s="72" t="s">
        <v>68</v>
      </c>
      <c r="H46" s="1"/>
      <c r="I46" s="1"/>
      <c r="J46" s="1"/>
      <c r="K46" s="1"/>
      <c r="L46" s="1"/>
    </row>
    <row r="47" spans="1:12" ht="12.75">
      <c r="A47" s="1" t="s">
        <v>12</v>
      </c>
      <c r="B47" s="1">
        <v>44932657180</v>
      </c>
      <c r="C47" s="1">
        <f>(+B47*G47)/E$5</f>
        <v>1486937232.2235332</v>
      </c>
      <c r="D47" s="1">
        <v>1916851594</v>
      </c>
      <c r="E47" s="34">
        <f>+D47/B47</f>
        <v>0.04266054389619341</v>
      </c>
      <c r="F47" s="1">
        <f>+C47*E47</f>
        <v>63433551.06615637</v>
      </c>
      <c r="G47" s="40">
        <f>+H14</f>
        <v>23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4"/>
      <c r="F48" s="1"/>
      <c r="G48" s="40"/>
      <c r="I48" s="1"/>
      <c r="J48" s="5"/>
      <c r="K48" s="1"/>
      <c r="L48" s="1"/>
    </row>
    <row r="49" spans="1:12" ht="12.75">
      <c r="A49" s="1" t="s">
        <v>13</v>
      </c>
      <c r="B49" s="1">
        <v>567712826</v>
      </c>
      <c r="C49" s="1">
        <f>(+B49*G49)/E$5</f>
        <v>12660856.958073149</v>
      </c>
      <c r="D49" s="1">
        <v>377529029</v>
      </c>
      <c r="E49" s="34">
        <f>+D49/B49</f>
        <v>0.6649999994891783</v>
      </c>
      <c r="F49" s="1">
        <f>+C49*E49</f>
        <v>8419469.870651204</v>
      </c>
      <c r="G49" s="40">
        <v>15.5</v>
      </c>
      <c r="I49" s="1"/>
      <c r="J49" s="5"/>
      <c r="K49" s="1"/>
      <c r="L49" s="1"/>
    </row>
    <row r="50" spans="1:12" ht="12.75">
      <c r="A50" s="1" t="s">
        <v>14</v>
      </c>
      <c r="B50" s="1">
        <v>11000000000</v>
      </c>
      <c r="C50" s="1">
        <f>(+B50*G50)/E$5</f>
        <v>502503525.07841504</v>
      </c>
      <c r="D50" s="1">
        <v>5811599313</v>
      </c>
      <c r="E50" s="34">
        <f>+D50/B50</f>
        <v>0.5283272102727272</v>
      </c>
      <c r="F50" s="1">
        <f>+C50*E50</f>
        <v>265486285.55689043</v>
      </c>
      <c r="G50" s="40">
        <v>31.75</v>
      </c>
      <c r="I50" s="1"/>
      <c r="J50" s="5"/>
      <c r="K50" s="1"/>
      <c r="L50" s="1"/>
    </row>
    <row r="51" spans="1:12" ht="12.75">
      <c r="A51" s="1" t="s">
        <v>15</v>
      </c>
      <c r="B51" s="1">
        <v>429418369</v>
      </c>
      <c r="C51" s="1">
        <f>(+B51*G51)/E$5</f>
        <v>21006912.816897355</v>
      </c>
      <c r="D51" s="1">
        <v>223364748</v>
      </c>
      <c r="E51" s="34">
        <f>+D51/B51</f>
        <v>0.5201564817084012</v>
      </c>
      <c r="F51" s="1">
        <f>+C51*E51</f>
        <v>10926881.862392448</v>
      </c>
      <c r="G51" s="40">
        <v>34</v>
      </c>
      <c r="I51" s="1"/>
      <c r="J51" s="5"/>
      <c r="K51" s="1"/>
      <c r="L51" s="1"/>
    </row>
    <row r="52" spans="1:12" ht="12.75">
      <c r="A52" s="1" t="s">
        <v>16</v>
      </c>
      <c r="B52" s="41">
        <v>584921232</v>
      </c>
      <c r="C52" s="41">
        <f>(+B52*G52)/E$5</f>
        <v>20198137.56150902</v>
      </c>
      <c r="D52" s="41">
        <v>47867153</v>
      </c>
      <c r="E52" s="42">
        <f>+D52/B52</f>
        <v>0.08183521195893262</v>
      </c>
      <c r="F52" s="41">
        <f>+C52*E52</f>
        <v>1652918.868521769</v>
      </c>
      <c r="G52" s="40">
        <v>24</v>
      </c>
      <c r="I52" s="1"/>
      <c r="J52" s="5"/>
      <c r="K52" s="1"/>
      <c r="L52" s="1"/>
    </row>
    <row r="53" spans="1:12" ht="12.75">
      <c r="A53" s="1" t="s">
        <v>19</v>
      </c>
      <c r="B53" s="1">
        <f>SUM(B49:B52)</f>
        <v>12582052427</v>
      </c>
      <c r="C53" s="1">
        <f>SUM(C49:C52)</f>
        <v>556369432.4148946</v>
      </c>
      <c r="D53" s="1">
        <f>SUM(D49:D52)</f>
        <v>6460360243</v>
      </c>
      <c r="E53" s="34">
        <f>+D53/B53</f>
        <v>0.5134583789475097</v>
      </c>
      <c r="F53" s="1">
        <f>SUM(F49:F52)</f>
        <v>286485556.1584558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4"/>
      <c r="F54" s="1"/>
      <c r="G54" s="1"/>
      <c r="H54" s="1"/>
      <c r="I54" s="1"/>
      <c r="J54" s="1"/>
      <c r="K54" s="1"/>
      <c r="L54" s="1"/>
    </row>
    <row r="55" spans="1:12" ht="12.75">
      <c r="A55" s="1" t="s">
        <v>20</v>
      </c>
      <c r="B55" s="1"/>
      <c r="C55" s="1"/>
      <c r="D55" s="1"/>
      <c r="E55" s="1"/>
      <c r="F55" s="1">
        <f>+F47+F53</f>
        <v>349919107.2246122</v>
      </c>
      <c r="G55" s="1"/>
      <c r="H55" s="1"/>
      <c r="I55" s="1"/>
      <c r="J55" s="1"/>
      <c r="K55" s="1"/>
      <c r="L55" s="1"/>
    </row>
    <row r="57" spans="1:4" ht="12.75">
      <c r="A57" s="65" t="s">
        <v>60</v>
      </c>
      <c r="B57">
        <f>1921/568</f>
        <v>3.382042253521127</v>
      </c>
      <c r="D57" s="35">
        <f>+D49*B57</f>
        <v>1276819128.008803</v>
      </c>
    </row>
    <row r="58" spans="2:8" ht="12.75">
      <c r="B58">
        <f>37217/11000</f>
        <v>3.3833636363636366</v>
      </c>
      <c r="D58" s="35">
        <f>+D50*B58</f>
        <v>19662753784.720093</v>
      </c>
      <c r="H58" s="35"/>
    </row>
    <row r="59" spans="2:8" ht="12.75">
      <c r="B59">
        <f>1453/429</f>
        <v>3.386946386946387</v>
      </c>
      <c r="D59" s="35">
        <f>+D51*B59</f>
        <v>756524426.2097902</v>
      </c>
      <c r="H59" s="35"/>
    </row>
    <row r="60" spans="2:8" ht="12.75">
      <c r="B60">
        <f>1171/1171</f>
        <v>1</v>
      </c>
      <c r="D60" s="35">
        <f>+D52*B60</f>
        <v>47867153</v>
      </c>
      <c r="H60" s="35"/>
    </row>
    <row r="61" spans="4:8" ht="12.75">
      <c r="D61" s="35"/>
      <c r="H61" s="35"/>
    </row>
    <row r="62" spans="4:8" ht="12.75">
      <c r="D62" s="35">
        <f>SUM(D57:D61)</f>
        <v>21743964491.938686</v>
      </c>
      <c r="H62" s="35"/>
    </row>
    <row r="63" ht="12.75">
      <c r="D63" s="1">
        <f>+D47</f>
        <v>1916851594</v>
      </c>
    </row>
    <row r="64" ht="12.75">
      <c r="D64" s="35">
        <f>+D62+D63</f>
        <v>23660816085.938686</v>
      </c>
    </row>
    <row r="65" ht="12.75">
      <c r="D65" s="34">
        <f>+D64/B47</f>
        <v>0.5265839496461021</v>
      </c>
    </row>
  </sheetData>
  <printOptions/>
  <pageMargins left="0.75" right="0.75" top="1" bottom="1" header="0" footer="0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2001-11-14T19:14:43Z</cp:lastPrinted>
  <dcterms:created xsi:type="dcterms:W3CDTF">2000-08-28T16:15:11Z</dcterms:created>
  <dcterms:modified xsi:type="dcterms:W3CDTF">2001-11-14T19:44:55Z</dcterms:modified>
  <cp:category/>
  <cp:version/>
  <cp:contentType/>
  <cp:contentStatus/>
</cp:coreProperties>
</file>